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<sst xmlns="http://schemas.openxmlformats.org/spreadsheetml/2006/main" count="108" uniqueCount="25">
  <si>
    <t>房间编号</t>
  </si>
  <si>
    <t>房间类型</t>
  </si>
  <si>
    <t>面积㎡</t>
  </si>
  <si>
    <t>净高m</t>
  </si>
  <si>
    <t>夏季总冷负荷（不含新风/全热W)</t>
  </si>
  <si>
    <t>夏季室内湿负荷(kg/h)</t>
  </si>
  <si>
    <t>夏季新风量(m^3/h)</t>
  </si>
  <si>
    <t>送风量(m^3/h)</t>
  </si>
  <si>
    <t>新风比</t>
  </si>
  <si>
    <t>换气次数(次/h)</t>
  </si>
  <si>
    <t>风机盘管全热冷负荷W</t>
  </si>
  <si>
    <t>风机盘管台数（40㎡/台）</t>
  </si>
  <si>
    <t>风机盘管风量(m^3/h)</t>
  </si>
  <si>
    <t>选型</t>
  </si>
  <si>
    <t>大厅</t>
  </si>
  <si>
    <t>卧式暗装FP-136</t>
  </si>
  <si>
    <t>接待室</t>
  </si>
  <si>
    <t>报告厅</t>
  </si>
  <si>
    <t>走廊</t>
  </si>
  <si>
    <t>餐厅</t>
  </si>
  <si>
    <t>卧式暗装FP-204</t>
  </si>
  <si>
    <t>卧式暗装FP-170</t>
  </si>
  <si>
    <t>普通办公室</t>
  </si>
  <si>
    <t>会议室</t>
  </si>
  <si>
    <t>卧式暗装FP-238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</si>
</sst>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9" fontId="0" fillId="0" borderId="0" xfId="3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topLeftCell="G1" workbookViewId="0">
      <selection activeCell="O6" sqref="O6"/>
    </sheetView>
  </sheetViews>
  <sheetFormatPr defaultColWidth="9" defaultRowHeight="14.4"/>
  <cols>
    <col min="1" max="1" width="12.9074074074074" style="1" customWidth="1"/>
    <col min="2" max="4" width="11.8148148148148" style="1" customWidth="1"/>
    <col min="5" max="5" width="30.5462962962963" style="1" customWidth="1"/>
    <col min="6" max="6" width="24.7314814814815" style="1" customWidth="1"/>
    <col min="7" max="7" width="20.9074074074074" style="1" customWidth="1"/>
    <col min="8" max="8" width="15.3611111111111" style="1" customWidth="1"/>
    <col min="9" max="9" width="11.8148148148148" style="1" customWidth="1"/>
    <col min="10" max="10" width="16.5462962962963" style="1" customWidth="1"/>
    <col min="11" max="11" width="22.0925925925926" style="1" customWidth="1"/>
    <col min="12" max="12" width="23.9074074074074" style="1" customWidth="1"/>
    <col min="13" max="13" width="21.4537037037037" style="1" customWidth="1"/>
    <col min="14" max="14" width="20" style="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>
        <v>1024</v>
      </c>
      <c r="B2" s="1" t="s">
        <v>14</v>
      </c>
      <c r="C2" s="1">
        <v>79.89</v>
      </c>
      <c r="D2" s="1">
        <v>6</v>
      </c>
      <c r="E2" s="1">
        <f>5120+6630</f>
        <v>11750</v>
      </c>
      <c r="F2" s="2">
        <f>1.59*5.12</f>
        <v>8.1408</v>
      </c>
      <c r="G2" s="2">
        <f>0.39*3600/1.225/16.54</f>
        <v>69.2939811958641</v>
      </c>
      <c r="H2" s="2">
        <f>G2+E2*3.6/1.225/16.54</f>
        <v>2156.99726081485</v>
      </c>
      <c r="I2" s="3">
        <f>G2/H2</f>
        <v>0.0321252059308072</v>
      </c>
      <c r="J2" s="4">
        <f>H2/C2/D2</f>
        <v>4.49993169945101</v>
      </c>
      <c r="K2" s="1">
        <f>E2+G2*1.225*16.54/3.6</f>
        <v>12140</v>
      </c>
      <c r="L2" s="4">
        <f>C2/40</f>
        <v>1.99725</v>
      </c>
      <c r="M2" s="2">
        <f>H2/L2</f>
        <v>1079.98360786824</v>
      </c>
      <c r="N2" s="1" t="s">
        <v>15</v>
      </c>
    </row>
    <row r="3" spans="1:14">
      <c r="A3" s="1">
        <v>1026</v>
      </c>
      <c r="B3" s="1" t="s">
        <v>16</v>
      </c>
      <c r="C3" s="1">
        <v>71.07</v>
      </c>
      <c r="D3" s="1">
        <v>6</v>
      </c>
      <c r="E3" s="1">
        <f>5850+7300</f>
        <v>13150</v>
      </c>
      <c r="F3" s="2">
        <f>1.59*5850</f>
        <v>9301.5</v>
      </c>
      <c r="G3" s="2">
        <f>0.41*3600/1.225/16.54</f>
        <v>72.8475186930879</v>
      </c>
      <c r="H3" s="2">
        <f t="shared" ref="H3:H48" si="0">G3+E3*3.6/1.225/16.54</f>
        <v>2409.29842311774</v>
      </c>
      <c r="I3" s="3">
        <f t="shared" ref="I3:I48" si="1">G3/H3</f>
        <v>0.03023598820059</v>
      </c>
      <c r="J3" s="4">
        <f t="shared" ref="J3:J48" si="2">H3/C3/D3</f>
        <v>5.65005961989995</v>
      </c>
      <c r="K3" s="1">
        <f t="shared" ref="K3:K48" si="3">E3+G3*1.225*16.54/3.6</f>
        <v>13560</v>
      </c>
      <c r="L3" s="4">
        <f t="shared" ref="L3:L48" si="4">C3/40</f>
        <v>1.77675</v>
      </c>
      <c r="M3" s="2">
        <f t="shared" ref="M3:M48" si="5">H3/L3</f>
        <v>1356.01430877599</v>
      </c>
      <c r="N3" s="1" t="s">
        <v>15</v>
      </c>
    </row>
    <row r="4" spans="1:14">
      <c r="A4" s="1">
        <v>1042</v>
      </c>
      <c r="B4" s="1" t="s">
        <v>16</v>
      </c>
      <c r="C4" s="1">
        <v>46.58</v>
      </c>
      <c r="D4" s="1">
        <v>6</v>
      </c>
      <c r="E4" s="1">
        <f>4130+3780</f>
        <v>7910</v>
      </c>
      <c r="F4" s="2">
        <f>3.78*1.59</f>
        <v>6.0102</v>
      </c>
      <c r="G4" s="2">
        <f>0.29*3600/1.225/16.54</f>
        <v>51.5262937097451</v>
      </c>
      <c r="H4" s="2">
        <f t="shared" si="0"/>
        <v>1456.95037386176</v>
      </c>
      <c r="I4" s="3">
        <f t="shared" si="1"/>
        <v>0.0353658536585366</v>
      </c>
      <c r="J4" s="4">
        <f t="shared" si="2"/>
        <v>5.21307561851208</v>
      </c>
      <c r="K4" s="1">
        <f t="shared" si="3"/>
        <v>8200</v>
      </c>
      <c r="L4" s="4">
        <f t="shared" si="4"/>
        <v>1.1645</v>
      </c>
      <c r="M4" s="2">
        <f t="shared" si="5"/>
        <v>1251.1381484429</v>
      </c>
      <c r="N4" s="1" t="s">
        <v>15</v>
      </c>
    </row>
    <row r="5" spans="1:14">
      <c r="A5" s="1">
        <v>1015</v>
      </c>
      <c r="B5" s="1" t="s">
        <v>17</v>
      </c>
      <c r="C5" s="1">
        <v>183.5</v>
      </c>
      <c r="D5" s="1">
        <v>6</v>
      </c>
      <c r="E5" s="1">
        <f>15390+14550</f>
        <v>29940</v>
      </c>
      <c r="F5" s="2">
        <f>1.59*15.39</f>
        <v>24.4701</v>
      </c>
      <c r="G5" s="2">
        <f>1.08*3600/1.225/16.54</f>
        <v>191.891024850085</v>
      </c>
      <c r="H5" s="2">
        <f t="shared" si="0"/>
        <v>5511.53665819411</v>
      </c>
      <c r="I5" s="3">
        <f t="shared" si="1"/>
        <v>0.034816247582205</v>
      </c>
      <c r="J5" s="4">
        <f t="shared" si="2"/>
        <v>5.00593701924987</v>
      </c>
      <c r="K5" s="1">
        <f t="shared" si="3"/>
        <v>31020</v>
      </c>
      <c r="L5" s="4">
        <f t="shared" si="4"/>
        <v>4.5875</v>
      </c>
      <c r="M5" s="2">
        <f t="shared" si="5"/>
        <v>1201.42488461997</v>
      </c>
      <c r="N5" s="1" t="s">
        <v>15</v>
      </c>
    </row>
    <row r="6" spans="1:14">
      <c r="A6" s="1">
        <v>1086</v>
      </c>
      <c r="B6" s="1" t="s">
        <v>18</v>
      </c>
      <c r="C6" s="1">
        <v>23.43</v>
      </c>
      <c r="D6" s="1">
        <v>6</v>
      </c>
      <c r="E6" s="1">
        <f>1680+2080</f>
        <v>3760</v>
      </c>
      <c r="F6" s="2">
        <f>1.59*1.68</f>
        <v>2.6712</v>
      </c>
      <c r="G6" s="2">
        <f>0.02*3600/1.225/16.54</f>
        <v>3.5535374972238</v>
      </c>
      <c r="H6" s="2">
        <f t="shared" si="0"/>
        <v>671.618586975298</v>
      </c>
      <c r="I6" s="3">
        <f t="shared" si="1"/>
        <v>0.00529100529100529</v>
      </c>
      <c r="J6" s="4">
        <f t="shared" si="2"/>
        <v>4.77748319088987</v>
      </c>
      <c r="K6" s="1">
        <f t="shared" si="3"/>
        <v>3780</v>
      </c>
      <c r="L6" s="4">
        <f t="shared" si="4"/>
        <v>0.58575</v>
      </c>
      <c r="M6" s="2">
        <f t="shared" si="5"/>
        <v>1146.59596581357</v>
      </c>
      <c r="N6" s="1" t="s">
        <v>15</v>
      </c>
    </row>
    <row r="7" spans="1:14">
      <c r="A7" s="1">
        <v>1010</v>
      </c>
      <c r="B7" s="1" t="s">
        <v>19</v>
      </c>
      <c r="C7" s="1">
        <v>390.93</v>
      </c>
      <c r="D7" s="1">
        <v>6</v>
      </c>
      <c r="E7" s="1">
        <f>31130+27440</f>
        <v>58570</v>
      </c>
      <c r="F7" s="2">
        <f>172*1.59</f>
        <v>273.48</v>
      </c>
      <c r="G7" s="2">
        <f>0.77*3600/1.225/16.54</f>
        <v>136.811193643116</v>
      </c>
      <c r="H7" s="2">
        <f t="shared" si="0"/>
        <v>10543.345754263</v>
      </c>
      <c r="I7" s="3">
        <f t="shared" si="1"/>
        <v>0.0129760701044826</v>
      </c>
      <c r="J7" s="4">
        <f t="shared" si="2"/>
        <v>4.49498450458437</v>
      </c>
      <c r="K7" s="1">
        <f t="shared" si="3"/>
        <v>59340</v>
      </c>
      <c r="L7" s="4">
        <f t="shared" si="4"/>
        <v>9.77325</v>
      </c>
      <c r="M7" s="2">
        <f t="shared" si="5"/>
        <v>1078.79628110025</v>
      </c>
      <c r="N7" s="1" t="s">
        <v>15</v>
      </c>
    </row>
    <row r="8" spans="1:14">
      <c r="A8" s="1">
        <v>1018</v>
      </c>
      <c r="B8" s="1" t="s">
        <v>14</v>
      </c>
      <c r="C8" s="1">
        <v>140.55</v>
      </c>
      <c r="D8" s="1">
        <v>6</v>
      </c>
      <c r="E8" s="1">
        <f>34180+650</f>
        <v>34830</v>
      </c>
      <c r="F8" s="2">
        <f>0.65*1.59</f>
        <v>1.0335</v>
      </c>
      <c r="G8" s="2">
        <f>0.26*3600/1.225/16.54</f>
        <v>46.1959874639094</v>
      </c>
      <c r="H8" s="2">
        <f t="shared" si="0"/>
        <v>6234.68153887915</v>
      </c>
      <c r="I8" s="3">
        <f t="shared" si="1"/>
        <v>0.00740951838130522</v>
      </c>
      <c r="J8" s="4">
        <f t="shared" si="2"/>
        <v>7.39319523168404</v>
      </c>
      <c r="K8" s="1">
        <f t="shared" si="3"/>
        <v>35090</v>
      </c>
      <c r="L8" s="4">
        <f t="shared" si="4"/>
        <v>3.51375</v>
      </c>
      <c r="M8" s="2">
        <f t="shared" si="5"/>
        <v>1774.36685560417</v>
      </c>
      <c r="N8" s="1" t="s">
        <v>20</v>
      </c>
    </row>
    <row r="9" spans="1:14">
      <c r="A9" s="1">
        <v>1023</v>
      </c>
      <c r="B9" s="1" t="s">
        <v>14</v>
      </c>
      <c r="C9" s="1">
        <v>68.39</v>
      </c>
      <c r="D9" s="1">
        <v>6</v>
      </c>
      <c r="E9" s="1">
        <f>5150+5750</f>
        <v>10900</v>
      </c>
      <c r="F9" s="2">
        <f>5.15*1.59</f>
        <v>8.1885</v>
      </c>
      <c r="G9" s="2">
        <f>0.37*3600/1.225/16.54</f>
        <v>65.7404436986403</v>
      </c>
      <c r="H9" s="2">
        <f t="shared" si="0"/>
        <v>2002.41837968561</v>
      </c>
      <c r="I9" s="3">
        <f t="shared" si="1"/>
        <v>0.0328305235137533</v>
      </c>
      <c r="J9" s="4">
        <f t="shared" si="2"/>
        <v>4.87990052075257</v>
      </c>
      <c r="K9" s="1">
        <f t="shared" si="3"/>
        <v>11270</v>
      </c>
      <c r="L9" s="4">
        <f t="shared" si="4"/>
        <v>1.70975</v>
      </c>
      <c r="M9" s="2">
        <f t="shared" si="5"/>
        <v>1171.17612498062</v>
      </c>
      <c r="N9" s="1" t="s">
        <v>20</v>
      </c>
    </row>
    <row r="10" spans="1:14">
      <c r="A10" s="1">
        <v>1003</v>
      </c>
      <c r="B10" s="1" t="s">
        <v>14</v>
      </c>
      <c r="C10" s="1">
        <v>1152.99</v>
      </c>
      <c r="D10" s="1">
        <v>6</v>
      </c>
      <c r="E10" s="1">
        <f>59100+155710</f>
        <v>214810</v>
      </c>
      <c r="F10" s="2">
        <f>155.71*1.59</f>
        <v>247.5789</v>
      </c>
      <c r="G10" s="2">
        <f>33.89*3600/16.54/1.225</f>
        <v>6021.46928904573</v>
      </c>
      <c r="H10" s="2">
        <f t="shared" si="0"/>
        <v>44188.2387779779</v>
      </c>
      <c r="I10" s="3">
        <f t="shared" si="1"/>
        <v>0.136268596702855</v>
      </c>
      <c r="J10" s="4">
        <f t="shared" si="2"/>
        <v>6.38748511521897</v>
      </c>
      <c r="K10" s="1">
        <f t="shared" si="3"/>
        <v>248700</v>
      </c>
      <c r="L10" s="4">
        <f t="shared" si="4"/>
        <v>28.82475</v>
      </c>
      <c r="M10" s="2">
        <f t="shared" si="5"/>
        <v>1532.99642765255</v>
      </c>
      <c r="N10" s="1" t="s">
        <v>21</v>
      </c>
    </row>
    <row r="11" spans="1:14">
      <c r="A11" s="1">
        <v>2004</v>
      </c>
      <c r="B11" s="1" t="s">
        <v>22</v>
      </c>
      <c r="C11" s="1">
        <v>904.13</v>
      </c>
      <c r="D11" s="1">
        <v>4.5</v>
      </c>
      <c r="E11" s="1">
        <f>42070+120480</f>
        <v>162550</v>
      </c>
      <c r="F11" s="2">
        <f>1.59*42.07</f>
        <v>66.8913</v>
      </c>
      <c r="G11" s="2">
        <f>6.21*3600/1.225/16.54</f>
        <v>1103.37339288799</v>
      </c>
      <c r="H11" s="2">
        <f t="shared" si="0"/>
        <v>29984.7494015744</v>
      </c>
      <c r="I11" s="3">
        <f t="shared" si="1"/>
        <v>0.0367978193884807</v>
      </c>
      <c r="J11" s="4">
        <f t="shared" si="2"/>
        <v>7.36982253082445</v>
      </c>
      <c r="K11" s="1">
        <f t="shared" si="3"/>
        <v>168760</v>
      </c>
      <c r="L11" s="4">
        <f t="shared" si="4"/>
        <v>22.60325</v>
      </c>
      <c r="M11" s="2">
        <f t="shared" si="5"/>
        <v>1326.5680555484</v>
      </c>
      <c r="N11" s="1" t="s">
        <v>15</v>
      </c>
    </row>
    <row r="12" spans="1:14">
      <c r="A12" s="1">
        <v>2070</v>
      </c>
      <c r="B12" s="1" t="s">
        <v>22</v>
      </c>
      <c r="C12" s="1">
        <v>28.58</v>
      </c>
      <c r="D12" s="1">
        <v>4.5</v>
      </c>
      <c r="E12" s="1">
        <f>1040+4800</f>
        <v>5840</v>
      </c>
      <c r="F12" s="2">
        <f>1.59*1.04</f>
        <v>1.6536</v>
      </c>
      <c r="G12" s="2">
        <f>0.16*3600/1.225/16.54</f>
        <v>28.4282999777904</v>
      </c>
      <c r="H12" s="2">
        <f t="shared" si="0"/>
        <v>1066.06124916714</v>
      </c>
      <c r="I12" s="3">
        <f t="shared" si="1"/>
        <v>0.0266666666666667</v>
      </c>
      <c r="J12" s="4">
        <f t="shared" si="2"/>
        <v>8.28910076329321</v>
      </c>
      <c r="K12" s="1">
        <f t="shared" si="3"/>
        <v>6000</v>
      </c>
      <c r="L12" s="4">
        <f t="shared" si="4"/>
        <v>0.7145</v>
      </c>
      <c r="M12" s="2">
        <f t="shared" si="5"/>
        <v>1492.03813739278</v>
      </c>
      <c r="N12" s="1" t="s">
        <v>21</v>
      </c>
    </row>
    <row r="13" spans="1:14">
      <c r="A13" s="1">
        <v>2080</v>
      </c>
      <c r="B13" s="1" t="s">
        <v>22</v>
      </c>
      <c r="C13" s="1">
        <v>27.06</v>
      </c>
      <c r="D13" s="1">
        <v>4.5</v>
      </c>
      <c r="E13" s="1">
        <f>2060+4660</f>
        <v>6720</v>
      </c>
      <c r="F13" s="2">
        <f>1.59*2.06</f>
        <v>3.2754</v>
      </c>
      <c r="G13" s="2">
        <f>0.65*3600/1.225/16.54</f>
        <v>115.489968659773</v>
      </c>
      <c r="H13" s="2">
        <f t="shared" si="0"/>
        <v>1309.47856772697</v>
      </c>
      <c r="I13" s="3">
        <f t="shared" si="1"/>
        <v>0.0881953867028494</v>
      </c>
      <c r="J13" s="4">
        <f t="shared" si="2"/>
        <v>10.7537042598914</v>
      </c>
      <c r="K13" s="1">
        <f t="shared" si="3"/>
        <v>7370</v>
      </c>
      <c r="L13" s="4">
        <f t="shared" si="4"/>
        <v>0.6765</v>
      </c>
      <c r="M13" s="2">
        <f t="shared" si="5"/>
        <v>1935.66676678044</v>
      </c>
      <c r="N13" s="1" t="s">
        <v>20</v>
      </c>
    </row>
    <row r="14" spans="1:14">
      <c r="A14" s="1">
        <v>2008</v>
      </c>
      <c r="B14" s="1" t="s">
        <v>22</v>
      </c>
      <c r="C14" s="1">
        <v>411.51</v>
      </c>
      <c r="D14" s="1">
        <v>4.5</v>
      </c>
      <c r="E14" s="1">
        <f>58620+31460</f>
        <v>90080</v>
      </c>
      <c r="F14" s="2">
        <f>58.62*1.59</f>
        <v>93.2058</v>
      </c>
      <c r="G14" s="2">
        <f>6.48*3600/1.225/16.54</f>
        <v>1151.34614910051</v>
      </c>
      <c r="H14" s="2">
        <f t="shared" si="0"/>
        <v>17156.4790365965</v>
      </c>
      <c r="I14" s="3">
        <f t="shared" si="1"/>
        <v>0.0671085335542668</v>
      </c>
      <c r="J14" s="4">
        <f t="shared" si="2"/>
        <v>9.26478310860355</v>
      </c>
      <c r="K14" s="1">
        <f t="shared" si="3"/>
        <v>96560</v>
      </c>
      <c r="L14" s="4">
        <f t="shared" si="4"/>
        <v>10.28775</v>
      </c>
      <c r="M14" s="2">
        <f t="shared" si="5"/>
        <v>1667.66095954864</v>
      </c>
      <c r="N14" s="1" t="s">
        <v>21</v>
      </c>
    </row>
    <row r="15" spans="1:14">
      <c r="A15" s="1">
        <v>2055</v>
      </c>
      <c r="B15" s="1" t="s">
        <v>22</v>
      </c>
      <c r="C15" s="1">
        <v>33.55</v>
      </c>
      <c r="D15" s="1">
        <v>4.5</v>
      </c>
      <c r="E15" s="1">
        <f>2580+5250</f>
        <v>7830</v>
      </c>
      <c r="F15" s="2">
        <f>1.59*2.58</f>
        <v>4.1022</v>
      </c>
      <c r="G15" s="2">
        <f>0.78*3600/16.54/1.225</f>
        <v>138.587962391728</v>
      </c>
      <c r="H15" s="2">
        <f t="shared" si="0"/>
        <v>1529.79789255485</v>
      </c>
      <c r="I15" s="3">
        <f t="shared" si="1"/>
        <v>0.0905923344947735</v>
      </c>
      <c r="J15" s="4">
        <f t="shared" si="2"/>
        <v>10.1327894853773</v>
      </c>
      <c r="K15" s="1">
        <f t="shared" si="3"/>
        <v>8610</v>
      </c>
      <c r="L15" s="4">
        <f t="shared" si="4"/>
        <v>0.83875</v>
      </c>
      <c r="M15" s="2">
        <f t="shared" si="5"/>
        <v>1823.90210736792</v>
      </c>
      <c r="N15" s="1" t="s">
        <v>20</v>
      </c>
    </row>
    <row r="16" spans="1:14">
      <c r="A16" s="1">
        <v>2069</v>
      </c>
      <c r="B16" s="1" t="s">
        <v>22</v>
      </c>
      <c r="C16" s="1">
        <v>27.34</v>
      </c>
      <c r="D16" s="1">
        <v>4.5</v>
      </c>
      <c r="E16" s="1">
        <f>1040+4630</f>
        <v>5670</v>
      </c>
      <c r="F16" s="2">
        <f>1.59*1.04</f>
        <v>1.6536</v>
      </c>
      <c r="G16" s="2">
        <f>0.16*3600/1.225/16.54</f>
        <v>28.4282999777904</v>
      </c>
      <c r="H16" s="2">
        <f t="shared" si="0"/>
        <v>1035.85618044074</v>
      </c>
      <c r="I16" s="3">
        <f t="shared" si="1"/>
        <v>0.0274442538593482</v>
      </c>
      <c r="J16" s="4">
        <f t="shared" si="2"/>
        <v>8.41954141624593</v>
      </c>
      <c r="K16" s="1">
        <f t="shared" si="3"/>
        <v>5830</v>
      </c>
      <c r="L16" s="4">
        <f t="shared" si="4"/>
        <v>0.6835</v>
      </c>
      <c r="M16" s="2">
        <f t="shared" si="5"/>
        <v>1515.51745492427</v>
      </c>
      <c r="N16" s="1" t="s">
        <v>21</v>
      </c>
    </row>
    <row r="17" spans="1:14">
      <c r="A17" s="1">
        <v>2079</v>
      </c>
      <c r="B17" s="1" t="s">
        <v>22</v>
      </c>
      <c r="C17" s="1">
        <v>26.45</v>
      </c>
      <c r="D17" s="1">
        <v>4.5</v>
      </c>
      <c r="E17" s="1">
        <f>1040+4320</f>
        <v>5360</v>
      </c>
      <c r="F17" s="2">
        <f>1.59*1.04</f>
        <v>1.6536</v>
      </c>
      <c r="G17" s="2">
        <f>0.16*3600/1.225/16.54</f>
        <v>28.4282999777904</v>
      </c>
      <c r="H17" s="2">
        <f t="shared" si="0"/>
        <v>980.776349233768</v>
      </c>
      <c r="I17" s="3">
        <f t="shared" si="1"/>
        <v>0.0289855072463768</v>
      </c>
      <c r="J17" s="4">
        <f t="shared" si="2"/>
        <v>8.24008695008417</v>
      </c>
      <c r="K17" s="1">
        <f t="shared" si="3"/>
        <v>5520</v>
      </c>
      <c r="L17" s="4">
        <f t="shared" si="4"/>
        <v>0.66125</v>
      </c>
      <c r="M17" s="2">
        <f t="shared" si="5"/>
        <v>1483.21565101515</v>
      </c>
      <c r="N17" s="1" t="s">
        <v>21</v>
      </c>
    </row>
    <row r="18" spans="1:14">
      <c r="A18" s="1">
        <v>2020</v>
      </c>
      <c r="B18" s="1" t="s">
        <v>23</v>
      </c>
      <c r="C18" s="1">
        <v>104.61</v>
      </c>
      <c r="D18" s="1">
        <v>4.5</v>
      </c>
      <c r="E18" s="1">
        <f>14550+6730</f>
        <v>21280</v>
      </c>
      <c r="F18" s="2">
        <f>1.59*14.55</f>
        <v>23.1345</v>
      </c>
      <c r="G18" s="2">
        <f>1.68*3600/16.54/1.225</f>
        <v>298.497149766799</v>
      </c>
      <c r="H18" s="2">
        <f t="shared" si="0"/>
        <v>4079.46104681292</v>
      </c>
      <c r="I18" s="3">
        <f t="shared" si="1"/>
        <v>0.0731707317073171</v>
      </c>
      <c r="J18" s="4">
        <f t="shared" si="2"/>
        <v>8.66596787392945</v>
      </c>
      <c r="K18" s="1">
        <f t="shared" si="3"/>
        <v>22960</v>
      </c>
      <c r="L18" s="4">
        <f t="shared" si="4"/>
        <v>2.61525</v>
      </c>
      <c r="M18" s="2">
        <f t="shared" si="5"/>
        <v>1559.8742173073</v>
      </c>
      <c r="N18" s="1" t="s">
        <v>21</v>
      </c>
    </row>
    <row r="19" spans="1:14">
      <c r="A19" s="1">
        <v>2043</v>
      </c>
      <c r="B19" s="1" t="s">
        <v>23</v>
      </c>
      <c r="C19" s="1">
        <v>47.4</v>
      </c>
      <c r="D19" s="1">
        <v>4.5</v>
      </c>
      <c r="E19" s="1">
        <f>1940+7820</f>
        <v>9760</v>
      </c>
      <c r="F19" s="2">
        <f>1.59*1.94</f>
        <v>3.0846</v>
      </c>
      <c r="G19" s="2">
        <f>0.3*3600/1.225/16.54</f>
        <v>53.303062458357</v>
      </c>
      <c r="H19" s="2">
        <f t="shared" si="0"/>
        <v>1787.42936110357</v>
      </c>
      <c r="I19" s="3">
        <f t="shared" si="1"/>
        <v>0.0298210735586481</v>
      </c>
      <c r="J19" s="4">
        <f t="shared" si="2"/>
        <v>8.3798844871241</v>
      </c>
      <c r="K19" s="1">
        <f t="shared" si="3"/>
        <v>10060</v>
      </c>
      <c r="L19" s="4">
        <f t="shared" si="4"/>
        <v>1.185</v>
      </c>
      <c r="M19" s="2">
        <f t="shared" si="5"/>
        <v>1508.37920768234</v>
      </c>
      <c r="N19" s="1" t="s">
        <v>21</v>
      </c>
    </row>
    <row r="20" spans="1:14">
      <c r="A20" s="1">
        <v>2044</v>
      </c>
      <c r="B20" s="1" t="s">
        <v>23</v>
      </c>
      <c r="C20" s="1">
        <v>47.02</v>
      </c>
      <c r="D20" s="1">
        <v>4.5</v>
      </c>
      <c r="E20" s="1">
        <f>2010+7450</f>
        <v>9460</v>
      </c>
      <c r="F20" s="2">
        <f>2.01*1.59</f>
        <v>3.1959</v>
      </c>
      <c r="G20" s="2">
        <f>0.29*3600/1.225/16.54</f>
        <v>51.5262937097451</v>
      </c>
      <c r="H20" s="2">
        <f t="shared" si="0"/>
        <v>1732.3495298966</v>
      </c>
      <c r="I20" s="3">
        <f t="shared" si="1"/>
        <v>0.0297435897435897</v>
      </c>
      <c r="J20" s="4">
        <f t="shared" si="2"/>
        <v>8.18729396425446</v>
      </c>
      <c r="K20" s="1">
        <f t="shared" si="3"/>
        <v>9750</v>
      </c>
      <c r="L20" s="4">
        <f t="shared" si="4"/>
        <v>1.1755</v>
      </c>
      <c r="M20" s="2">
        <f t="shared" si="5"/>
        <v>1473.7129135658</v>
      </c>
      <c r="N20" s="1" t="s">
        <v>21</v>
      </c>
    </row>
    <row r="21" spans="1:14">
      <c r="A21" s="1">
        <v>2052</v>
      </c>
      <c r="B21" s="1" t="s">
        <v>23</v>
      </c>
      <c r="C21" s="1">
        <v>35.4</v>
      </c>
      <c r="D21" s="1">
        <v>4.5</v>
      </c>
      <c r="E21" s="1">
        <f>1510+6110</f>
        <v>7620</v>
      </c>
      <c r="F21" s="2">
        <f>1.59*1.51</f>
        <v>2.4009</v>
      </c>
      <c r="G21" s="2">
        <f>0.22*3600/1.225/16.54</f>
        <v>39.0889124694618</v>
      </c>
      <c r="H21" s="2">
        <f t="shared" si="0"/>
        <v>1392.98669891173</v>
      </c>
      <c r="I21" s="3">
        <f t="shared" si="1"/>
        <v>0.0280612244897959</v>
      </c>
      <c r="J21" s="4">
        <f t="shared" si="2"/>
        <v>8.74442372198198</v>
      </c>
      <c r="K21" s="1">
        <f t="shared" si="3"/>
        <v>7840</v>
      </c>
      <c r="L21" s="4">
        <f t="shared" si="4"/>
        <v>0.885</v>
      </c>
      <c r="M21" s="2">
        <f t="shared" si="5"/>
        <v>1573.99626995676</v>
      </c>
      <c r="N21" s="1" t="s">
        <v>21</v>
      </c>
    </row>
    <row r="22" spans="1:14">
      <c r="A22" s="1">
        <v>2053</v>
      </c>
      <c r="B22" s="1" t="s">
        <v>23</v>
      </c>
      <c r="C22" s="1">
        <v>35.4</v>
      </c>
      <c r="D22" s="1">
        <v>4.5</v>
      </c>
      <c r="E22" s="1">
        <f>1510+6080</f>
        <v>7590</v>
      </c>
      <c r="F22" s="2">
        <f>1.59*1.51</f>
        <v>2.4009</v>
      </c>
      <c r="G22" s="2">
        <f>0.22*3600/1.225/16.54</f>
        <v>39.0889124694618</v>
      </c>
      <c r="H22" s="2">
        <f t="shared" si="0"/>
        <v>1387.65639266589</v>
      </c>
      <c r="I22" s="3">
        <f t="shared" si="1"/>
        <v>0.028169014084507</v>
      </c>
      <c r="J22" s="4">
        <f t="shared" si="2"/>
        <v>8.71096291692337</v>
      </c>
      <c r="K22" s="1">
        <f t="shared" si="3"/>
        <v>7810</v>
      </c>
      <c r="L22" s="4">
        <f t="shared" si="4"/>
        <v>0.885</v>
      </c>
      <c r="M22" s="2">
        <f t="shared" si="5"/>
        <v>1567.97332504621</v>
      </c>
      <c r="N22" s="1" t="s">
        <v>21</v>
      </c>
    </row>
    <row r="23" spans="1:14">
      <c r="A23" s="1">
        <v>2057</v>
      </c>
      <c r="B23" s="1" t="s">
        <v>23</v>
      </c>
      <c r="C23" s="1">
        <v>33.63</v>
      </c>
      <c r="D23" s="1">
        <v>4.5</v>
      </c>
      <c r="E23" s="1">
        <f>1260+5610</f>
        <v>6870</v>
      </c>
      <c r="F23" s="2">
        <f>1.59*1.26</f>
        <v>2.0034</v>
      </c>
      <c r="G23" s="2">
        <f>0.2*3600/16.54/1.225</f>
        <v>35.535374972238</v>
      </c>
      <c r="H23" s="2">
        <f t="shared" si="0"/>
        <v>1256.17550526861</v>
      </c>
      <c r="I23" s="3">
        <f t="shared" si="1"/>
        <v>0.0282885431400283</v>
      </c>
      <c r="J23" s="4">
        <f t="shared" si="2"/>
        <v>8.3006277812047</v>
      </c>
      <c r="K23" s="1">
        <f t="shared" si="3"/>
        <v>7070</v>
      </c>
      <c r="L23" s="4">
        <f t="shared" si="4"/>
        <v>0.84075</v>
      </c>
      <c r="M23" s="2">
        <f t="shared" si="5"/>
        <v>1494.11300061685</v>
      </c>
      <c r="N23" s="1" t="s">
        <v>21</v>
      </c>
    </row>
    <row r="24" spans="1:14">
      <c r="A24" s="1">
        <v>2036</v>
      </c>
      <c r="B24" s="1" t="s">
        <v>22</v>
      </c>
      <c r="C24" s="1">
        <v>56.93</v>
      </c>
      <c r="D24" s="1">
        <v>4.5</v>
      </c>
      <c r="E24" s="1">
        <f>2380+7540</f>
        <v>9920</v>
      </c>
      <c r="F24" s="2">
        <f>2.38*1.59</f>
        <v>3.7842</v>
      </c>
      <c r="G24" s="2">
        <f>0.35*3600/1.225/16.54</f>
        <v>62.1869062014165</v>
      </c>
      <c r="H24" s="2">
        <f t="shared" si="0"/>
        <v>1824.74150482442</v>
      </c>
      <c r="I24" s="3">
        <f t="shared" si="1"/>
        <v>0.0340798442064265</v>
      </c>
      <c r="J24" s="4">
        <f t="shared" si="2"/>
        <v>7.12274920399095</v>
      </c>
      <c r="K24" s="1">
        <f t="shared" si="3"/>
        <v>10270</v>
      </c>
      <c r="L24" s="4">
        <f t="shared" si="4"/>
        <v>1.42325</v>
      </c>
      <c r="M24" s="2">
        <f t="shared" si="5"/>
        <v>1282.09485671837</v>
      </c>
      <c r="N24" s="1" t="s">
        <v>15</v>
      </c>
    </row>
    <row r="25" spans="1:14">
      <c r="A25" s="1">
        <v>2060</v>
      </c>
      <c r="B25" s="1" t="s">
        <v>22</v>
      </c>
      <c r="C25" s="1">
        <v>33.15</v>
      </c>
      <c r="D25" s="1">
        <v>4.5</v>
      </c>
      <c r="E25" s="1">
        <f>1380+5730</f>
        <v>7110</v>
      </c>
      <c r="F25" s="2">
        <f>1.59*1.38</f>
        <v>2.1942</v>
      </c>
      <c r="G25" s="2">
        <f>0.21*3600/1.225/16.54</f>
        <v>37.3121437208499</v>
      </c>
      <c r="H25" s="2">
        <f t="shared" si="0"/>
        <v>1300.59472398391</v>
      </c>
      <c r="I25" s="3">
        <f t="shared" si="1"/>
        <v>0.0286885245901639</v>
      </c>
      <c r="J25" s="4">
        <f t="shared" si="2"/>
        <v>8.71858370359585</v>
      </c>
      <c r="K25" s="1">
        <f t="shared" si="3"/>
        <v>7320</v>
      </c>
      <c r="L25" s="4">
        <f t="shared" si="4"/>
        <v>0.82875</v>
      </c>
      <c r="M25" s="2">
        <f t="shared" si="5"/>
        <v>1569.34506664725</v>
      </c>
      <c r="N25" s="1" t="s">
        <v>21</v>
      </c>
    </row>
    <row r="26" spans="1:14">
      <c r="A26" s="1">
        <v>2063</v>
      </c>
      <c r="B26" s="1" t="s">
        <v>22</v>
      </c>
      <c r="C26" s="1">
        <v>32.26</v>
      </c>
      <c r="D26" s="1">
        <v>4.5</v>
      </c>
      <c r="E26" s="1">
        <f>1370+5370</f>
        <v>6740</v>
      </c>
      <c r="F26" s="2">
        <f>1.59*1.37</f>
        <v>2.1783</v>
      </c>
      <c r="G26" s="2">
        <f>0.2*3600/1.225/16.54</f>
        <v>35.535374972238</v>
      </c>
      <c r="H26" s="2">
        <f t="shared" si="0"/>
        <v>1233.07751153666</v>
      </c>
      <c r="I26" s="3">
        <f t="shared" si="1"/>
        <v>0.0288184438040346</v>
      </c>
      <c r="J26" s="4">
        <f t="shared" si="2"/>
        <v>8.49402432690403</v>
      </c>
      <c r="K26" s="1">
        <f t="shared" si="3"/>
        <v>6940</v>
      </c>
      <c r="L26" s="4">
        <f t="shared" si="4"/>
        <v>0.8065</v>
      </c>
      <c r="M26" s="2">
        <f t="shared" si="5"/>
        <v>1528.92437884273</v>
      </c>
      <c r="N26" s="1" t="s">
        <v>21</v>
      </c>
    </row>
    <row r="27" spans="1:14">
      <c r="A27" s="1">
        <v>3007</v>
      </c>
      <c r="B27" s="1" t="s">
        <v>22</v>
      </c>
      <c r="C27" s="1">
        <v>684.14</v>
      </c>
      <c r="D27" s="1">
        <v>4.5</v>
      </c>
      <c r="E27" s="1">
        <f>106960+60080</f>
        <v>167040</v>
      </c>
      <c r="F27" s="2">
        <f>1.59*106.96</f>
        <v>170.0664</v>
      </c>
      <c r="G27" s="2">
        <f>11.22*3600/16.54/1.225</f>
        <v>1993.53453594255</v>
      </c>
      <c r="H27" s="2">
        <f t="shared" si="0"/>
        <v>31672.6797127557</v>
      </c>
      <c r="I27" s="3">
        <f t="shared" si="1"/>
        <v>0.0629417704476607</v>
      </c>
      <c r="J27" s="4">
        <f t="shared" si="2"/>
        <v>10.287913686528</v>
      </c>
      <c r="K27" s="1">
        <f t="shared" si="3"/>
        <v>178260</v>
      </c>
      <c r="L27" s="4">
        <f t="shared" si="4"/>
        <v>17.1035</v>
      </c>
      <c r="M27" s="2">
        <f t="shared" si="5"/>
        <v>1851.82446357504</v>
      </c>
      <c r="N27" s="1" t="s">
        <v>20</v>
      </c>
    </row>
    <row r="28" spans="1:14">
      <c r="A28" s="1">
        <v>3009</v>
      </c>
      <c r="B28" s="1" t="s">
        <v>22</v>
      </c>
      <c r="C28" s="1">
        <v>405.88</v>
      </c>
      <c r="D28" s="1">
        <v>4.5</v>
      </c>
      <c r="E28" s="1">
        <f>60800+33950</f>
        <v>94750</v>
      </c>
      <c r="F28" s="2">
        <f>60.8*1.59</f>
        <v>96.672</v>
      </c>
      <c r="G28" s="2">
        <f>6.38*3600/1.225/16.54</f>
        <v>1133.57846161439</v>
      </c>
      <c r="H28" s="2">
        <f t="shared" si="0"/>
        <v>17968.4623547121</v>
      </c>
      <c r="I28" s="3">
        <f t="shared" si="1"/>
        <v>0.0630871155937902</v>
      </c>
      <c r="J28" s="4">
        <f t="shared" si="2"/>
        <v>9.83786250709686</v>
      </c>
      <c r="K28" s="1">
        <f t="shared" si="3"/>
        <v>101130</v>
      </c>
      <c r="L28" s="4">
        <f t="shared" si="4"/>
        <v>10.147</v>
      </c>
      <c r="M28" s="2">
        <f t="shared" si="5"/>
        <v>1770.81525127743</v>
      </c>
      <c r="N28" s="1" t="s">
        <v>20</v>
      </c>
    </row>
    <row r="29" spans="1:14">
      <c r="A29" s="1">
        <v>3059</v>
      </c>
      <c r="B29" s="1" t="s">
        <v>22</v>
      </c>
      <c r="C29" s="1">
        <v>33.15</v>
      </c>
      <c r="D29" s="1">
        <v>4.5</v>
      </c>
      <c r="E29" s="1">
        <f>5350+3170</f>
        <v>8520</v>
      </c>
      <c r="F29" s="2">
        <f>5.35*1.59</f>
        <v>8.5065</v>
      </c>
      <c r="G29" s="2">
        <f>0.56*3600/1.225/16.54</f>
        <v>99.4990499222664</v>
      </c>
      <c r="H29" s="2">
        <f t="shared" si="0"/>
        <v>1613.3060237396</v>
      </c>
      <c r="I29" s="3">
        <f t="shared" si="1"/>
        <v>0.0616740088105727</v>
      </c>
      <c r="J29" s="4">
        <f t="shared" si="2"/>
        <v>10.8148551951708</v>
      </c>
      <c r="K29" s="1">
        <f t="shared" si="3"/>
        <v>9080</v>
      </c>
      <c r="L29" s="4">
        <f t="shared" si="4"/>
        <v>0.82875</v>
      </c>
      <c r="M29" s="2">
        <f t="shared" si="5"/>
        <v>1946.67393513074</v>
      </c>
      <c r="N29" s="1" t="s">
        <v>20</v>
      </c>
    </row>
    <row r="30" spans="1:14">
      <c r="A30" s="1">
        <v>3071</v>
      </c>
      <c r="B30" s="1" t="s">
        <v>22</v>
      </c>
      <c r="C30" s="1">
        <v>28.37</v>
      </c>
      <c r="D30" s="1">
        <v>4.5</v>
      </c>
      <c r="E30" s="1">
        <f>2050+5060</f>
        <v>7110</v>
      </c>
      <c r="F30" s="2">
        <f>1.59*2.05</f>
        <v>3.2595</v>
      </c>
      <c r="G30" s="2">
        <f>0.65*3600/1.225/16.54</f>
        <v>115.489968659773</v>
      </c>
      <c r="H30" s="2">
        <f t="shared" si="0"/>
        <v>1378.77254892283</v>
      </c>
      <c r="I30" s="3">
        <f t="shared" si="1"/>
        <v>0.0837628865979382</v>
      </c>
      <c r="J30" s="4">
        <f t="shared" si="2"/>
        <v>10.7999259697085</v>
      </c>
      <c r="K30" s="1">
        <f t="shared" si="3"/>
        <v>7760</v>
      </c>
      <c r="L30" s="4">
        <f t="shared" si="4"/>
        <v>0.70925</v>
      </c>
      <c r="M30" s="2">
        <f t="shared" si="5"/>
        <v>1943.98667454753</v>
      </c>
      <c r="N30" s="1" t="s">
        <v>20</v>
      </c>
    </row>
    <row r="31" spans="1:14">
      <c r="A31" s="1">
        <v>3078</v>
      </c>
      <c r="B31" s="1" t="s">
        <v>22</v>
      </c>
      <c r="C31" s="1">
        <v>27.06</v>
      </c>
      <c r="D31" s="1">
        <v>4.5</v>
      </c>
      <c r="E31" s="1">
        <f>4250+2900</f>
        <v>7150</v>
      </c>
      <c r="F31" s="2">
        <f>1.59*4.25</f>
        <v>6.7575</v>
      </c>
      <c r="G31" s="2">
        <f>0.45*3600/1.225/16.54</f>
        <v>79.9545936875355</v>
      </c>
      <c r="H31" s="2">
        <f t="shared" si="0"/>
        <v>1350.34424894504</v>
      </c>
      <c r="I31" s="3">
        <f t="shared" si="1"/>
        <v>0.0592105263157895</v>
      </c>
      <c r="J31" s="4">
        <f t="shared" si="2"/>
        <v>11.0893015434429</v>
      </c>
      <c r="K31" s="1">
        <f t="shared" si="3"/>
        <v>7600</v>
      </c>
      <c r="L31" s="4">
        <f t="shared" si="4"/>
        <v>0.6765</v>
      </c>
      <c r="M31" s="2">
        <f t="shared" si="5"/>
        <v>1996.07427781972</v>
      </c>
      <c r="N31" s="1" t="s">
        <v>20</v>
      </c>
    </row>
    <row r="32" spans="1:14">
      <c r="A32" s="1">
        <v>3046</v>
      </c>
      <c r="B32" s="1" t="s">
        <v>22</v>
      </c>
      <c r="C32" s="1">
        <v>42.84</v>
      </c>
      <c r="D32" s="1">
        <v>4.5</v>
      </c>
      <c r="E32" s="1">
        <f>6210+3380</f>
        <v>9590</v>
      </c>
      <c r="F32" s="2">
        <f>6.21*1.59</f>
        <v>9.8739</v>
      </c>
      <c r="G32" s="2">
        <f>0.66*3600/16.54/1.225</f>
        <v>117.266737408385</v>
      </c>
      <c r="H32" s="2">
        <f t="shared" si="0"/>
        <v>1821.1879673272</v>
      </c>
      <c r="I32" s="3">
        <f t="shared" si="1"/>
        <v>0.064390243902439</v>
      </c>
      <c r="J32" s="4">
        <f t="shared" si="2"/>
        <v>9.44697565788566</v>
      </c>
      <c r="K32" s="1">
        <f t="shared" si="3"/>
        <v>10250</v>
      </c>
      <c r="L32" s="4">
        <f t="shared" si="4"/>
        <v>1.071</v>
      </c>
      <c r="M32" s="2">
        <f t="shared" si="5"/>
        <v>1700.45561841942</v>
      </c>
      <c r="N32" s="1" t="s">
        <v>21</v>
      </c>
    </row>
    <row r="33" spans="1:14">
      <c r="A33" s="1">
        <v>3072</v>
      </c>
      <c r="B33" s="1" t="s">
        <v>22</v>
      </c>
      <c r="C33" s="1">
        <v>27.4</v>
      </c>
      <c r="D33" s="1">
        <v>4.5</v>
      </c>
      <c r="E33" s="1">
        <f>4250+2830</f>
        <v>7080</v>
      </c>
      <c r="F33" s="2">
        <f>1.59*4.25</f>
        <v>6.7575</v>
      </c>
      <c r="G33" s="2">
        <f>0.45*3600/1.225/16.54</f>
        <v>79.9545936875355</v>
      </c>
      <c r="H33" s="2">
        <f t="shared" si="0"/>
        <v>1337.90686770476</v>
      </c>
      <c r="I33" s="3">
        <f t="shared" si="1"/>
        <v>0.0597609561752988</v>
      </c>
      <c r="J33" s="4">
        <f t="shared" si="2"/>
        <v>10.8508261776542</v>
      </c>
      <c r="K33" s="1">
        <f t="shared" si="3"/>
        <v>7530</v>
      </c>
      <c r="L33" s="4">
        <f t="shared" si="4"/>
        <v>0.685</v>
      </c>
      <c r="M33" s="2">
        <f t="shared" si="5"/>
        <v>1953.14871197775</v>
      </c>
      <c r="N33" s="1" t="s">
        <v>20</v>
      </c>
    </row>
    <row r="34" spans="1:14">
      <c r="A34" s="1">
        <v>3077</v>
      </c>
      <c r="B34" s="1" t="s">
        <v>22</v>
      </c>
      <c r="C34" s="1">
        <v>26.46</v>
      </c>
      <c r="D34" s="1">
        <v>4.5</v>
      </c>
      <c r="E34" s="1">
        <f>2050+5180</f>
        <v>7230</v>
      </c>
      <c r="F34" s="2">
        <f>1.59*2.05</f>
        <v>3.2595</v>
      </c>
      <c r="G34" s="2">
        <f>0.65*3600/1.225/16.54</f>
        <v>115.489968659773</v>
      </c>
      <c r="H34" s="2">
        <f t="shared" si="0"/>
        <v>1400.09377390618</v>
      </c>
      <c r="I34" s="3">
        <f t="shared" si="1"/>
        <v>0.08248730964467</v>
      </c>
      <c r="J34" s="4">
        <f t="shared" si="2"/>
        <v>11.7585770883193</v>
      </c>
      <c r="K34" s="1">
        <f t="shared" si="3"/>
        <v>7880</v>
      </c>
      <c r="L34" s="4">
        <f t="shared" si="4"/>
        <v>0.6615</v>
      </c>
      <c r="M34" s="2">
        <f t="shared" si="5"/>
        <v>2116.54387589747</v>
      </c>
      <c r="N34" s="1" t="s">
        <v>24</v>
      </c>
    </row>
    <row r="35" spans="1:14">
      <c r="A35" s="1">
        <v>3032</v>
      </c>
      <c r="B35" s="1" t="s">
        <v>22</v>
      </c>
      <c r="C35" s="1">
        <v>61.23</v>
      </c>
      <c r="D35" s="1">
        <v>4.5</v>
      </c>
      <c r="E35" s="1">
        <f>9690+5490</f>
        <v>15180</v>
      </c>
      <c r="F35" s="2">
        <f>1.59*9.68</f>
        <v>15.3912</v>
      </c>
      <c r="G35" s="2">
        <f>1.02*3600/16.54/1.225</f>
        <v>181.230412358414</v>
      </c>
      <c r="H35" s="2">
        <f t="shared" si="0"/>
        <v>2878.36537275128</v>
      </c>
      <c r="I35" s="3">
        <f t="shared" si="1"/>
        <v>0.062962962962963</v>
      </c>
      <c r="J35" s="4">
        <f t="shared" si="2"/>
        <v>10.4464600604325</v>
      </c>
      <c r="K35" s="1">
        <f t="shared" si="3"/>
        <v>16200</v>
      </c>
      <c r="L35" s="4">
        <f t="shared" si="4"/>
        <v>1.53075</v>
      </c>
      <c r="M35" s="2">
        <f t="shared" si="5"/>
        <v>1880.36281087786</v>
      </c>
      <c r="N35" s="1" t="s">
        <v>20</v>
      </c>
    </row>
    <row r="36" spans="1:14">
      <c r="A36" s="1">
        <v>3034</v>
      </c>
      <c r="B36" s="1" t="s">
        <v>22</v>
      </c>
      <c r="C36" s="1">
        <v>58.25</v>
      </c>
      <c r="D36" s="1">
        <v>4.5</v>
      </c>
      <c r="E36" s="1">
        <f>9080+4800</f>
        <v>13880</v>
      </c>
      <c r="F36" s="2">
        <f>1.59*9.08</f>
        <v>14.4372</v>
      </c>
      <c r="G36" s="2">
        <f>0.96*3600/1.225/16.54</f>
        <v>170.569799866742</v>
      </c>
      <c r="H36" s="2">
        <f t="shared" si="0"/>
        <v>2636.72482294006</v>
      </c>
      <c r="I36" s="3">
        <f t="shared" si="1"/>
        <v>0.0646900269541779</v>
      </c>
      <c r="J36" s="4">
        <f t="shared" si="2"/>
        <v>10.0590360436435</v>
      </c>
      <c r="K36" s="1">
        <f t="shared" si="3"/>
        <v>14840</v>
      </c>
      <c r="L36" s="4">
        <f t="shared" si="4"/>
        <v>1.45625</v>
      </c>
      <c r="M36" s="2">
        <f t="shared" si="5"/>
        <v>1810.62648785583</v>
      </c>
      <c r="N36" s="1" t="s">
        <v>20</v>
      </c>
    </row>
    <row r="37" spans="1:14">
      <c r="A37" s="1">
        <v>3054</v>
      </c>
      <c r="B37" s="1" t="s">
        <v>22</v>
      </c>
      <c r="C37" s="1">
        <v>33.69</v>
      </c>
      <c r="D37" s="1">
        <v>4.5</v>
      </c>
      <c r="E37" s="1">
        <f>2550+5790</f>
        <v>8340</v>
      </c>
      <c r="F37" s="2">
        <f>2.55*1.59</f>
        <v>4.0545</v>
      </c>
      <c r="G37" s="2">
        <f>0.8*3600/1.225/16.54</f>
        <v>142.141499888952</v>
      </c>
      <c r="H37" s="2">
        <f t="shared" si="0"/>
        <v>1623.96663623128</v>
      </c>
      <c r="I37" s="3">
        <f t="shared" si="1"/>
        <v>0.087527352297593</v>
      </c>
      <c r="J37" s="4">
        <f t="shared" si="2"/>
        <v>10.711827685309</v>
      </c>
      <c r="K37" s="1">
        <f t="shared" si="3"/>
        <v>9140</v>
      </c>
      <c r="L37" s="4">
        <f t="shared" si="4"/>
        <v>0.84225</v>
      </c>
      <c r="M37" s="2">
        <f t="shared" si="5"/>
        <v>1928.12898335563</v>
      </c>
      <c r="N37" s="1" t="s">
        <v>20</v>
      </c>
    </row>
    <row r="38" spans="1:14">
      <c r="A38" s="1">
        <v>3062</v>
      </c>
      <c r="B38" s="1" t="s">
        <v>22</v>
      </c>
      <c r="C38" s="1">
        <v>32.29</v>
      </c>
      <c r="D38" s="1">
        <v>4.5</v>
      </c>
      <c r="E38" s="1">
        <f>2490+6110</f>
        <v>8600</v>
      </c>
      <c r="F38" s="2">
        <f>2.49*1.59</f>
        <v>3.9591</v>
      </c>
      <c r="G38" s="2">
        <f>0.78*3600/1.225/16.54</f>
        <v>138.587962391728</v>
      </c>
      <c r="H38" s="2">
        <f t="shared" si="0"/>
        <v>1666.60908619796</v>
      </c>
      <c r="I38" s="3">
        <f t="shared" si="1"/>
        <v>0.0831556503198294</v>
      </c>
      <c r="J38" s="4">
        <f t="shared" si="2"/>
        <v>11.4697297835447</v>
      </c>
      <c r="K38" s="1">
        <f t="shared" si="3"/>
        <v>9380</v>
      </c>
      <c r="L38" s="4">
        <f t="shared" si="4"/>
        <v>0.80725</v>
      </c>
      <c r="M38" s="2">
        <f t="shared" si="5"/>
        <v>2064.55136103804</v>
      </c>
      <c r="N38" s="1" t="s">
        <v>24</v>
      </c>
    </row>
    <row r="39" spans="1:14">
      <c r="A39" s="1">
        <v>4002</v>
      </c>
      <c r="B39" s="1" t="s">
        <v>22</v>
      </c>
      <c r="C39" s="1">
        <v>580.58</v>
      </c>
      <c r="D39" s="1">
        <v>4.5</v>
      </c>
      <c r="E39" s="1">
        <f>89510+43990</f>
        <v>133500</v>
      </c>
      <c r="F39" s="2">
        <f>1.59*89.51</f>
        <v>142.3209</v>
      </c>
      <c r="G39" s="2">
        <f>9.39*3600/1.225/16.54</f>
        <v>1668.38585494657</v>
      </c>
      <c r="H39" s="2">
        <f t="shared" si="0"/>
        <v>25388.2486489154</v>
      </c>
      <c r="I39" s="3">
        <f t="shared" si="1"/>
        <v>0.0657148855763175</v>
      </c>
      <c r="J39" s="4">
        <f t="shared" si="2"/>
        <v>9.71758075216562</v>
      </c>
      <c r="K39" s="1">
        <f t="shared" si="3"/>
        <v>142890</v>
      </c>
      <c r="L39" s="4">
        <f t="shared" si="4"/>
        <v>14.5145</v>
      </c>
      <c r="M39" s="2">
        <f t="shared" si="5"/>
        <v>1749.16453538981</v>
      </c>
      <c r="N39" s="1" t="s">
        <v>20</v>
      </c>
    </row>
    <row r="40" spans="1:14">
      <c r="A40" s="1">
        <v>4009</v>
      </c>
      <c r="B40" s="1" t="s">
        <v>22</v>
      </c>
      <c r="C40" s="1">
        <v>32.31</v>
      </c>
      <c r="D40" s="1">
        <v>4.5</v>
      </c>
      <c r="E40" s="1">
        <f>2550+5580</f>
        <v>8130</v>
      </c>
      <c r="F40" s="2">
        <f>1.59*2.55</f>
        <v>4.0545</v>
      </c>
      <c r="G40" s="2">
        <f>0.8*3600/16.54/1.225</f>
        <v>142.141499888952</v>
      </c>
      <c r="H40" s="2">
        <f t="shared" si="0"/>
        <v>1586.65449251043</v>
      </c>
      <c r="I40" s="3">
        <f t="shared" si="1"/>
        <v>0.0895856662933931</v>
      </c>
      <c r="J40" s="4">
        <f t="shared" si="2"/>
        <v>10.9127170295431</v>
      </c>
      <c r="K40" s="1">
        <f t="shared" si="3"/>
        <v>8930</v>
      </c>
      <c r="L40" s="4">
        <f t="shared" si="4"/>
        <v>0.80775</v>
      </c>
      <c r="M40" s="2">
        <f t="shared" si="5"/>
        <v>1964.28906531777</v>
      </c>
      <c r="N40" s="1" t="s">
        <v>20</v>
      </c>
    </row>
    <row r="41" spans="1:14">
      <c r="A41" s="1">
        <v>4011</v>
      </c>
      <c r="B41" s="1" t="s">
        <v>22</v>
      </c>
      <c r="C41" s="1">
        <v>29.53</v>
      </c>
      <c r="D41" s="1">
        <v>4.5</v>
      </c>
      <c r="E41" s="1">
        <f>4860+2660</f>
        <v>7520</v>
      </c>
      <c r="F41" s="2">
        <f>4.86*1.59</f>
        <v>7.7274</v>
      </c>
      <c r="G41" s="2">
        <f>0.51*3600/1.225/16.54</f>
        <v>90.6152061792069</v>
      </c>
      <c r="H41" s="2">
        <f t="shared" si="0"/>
        <v>1426.74530513536</v>
      </c>
      <c r="I41" s="3">
        <f t="shared" si="1"/>
        <v>0.0635118306351183</v>
      </c>
      <c r="J41" s="4">
        <f t="shared" si="2"/>
        <v>10.7366919150796</v>
      </c>
      <c r="K41" s="1">
        <f t="shared" si="3"/>
        <v>8030</v>
      </c>
      <c r="L41" s="4">
        <f t="shared" si="4"/>
        <v>0.73825</v>
      </c>
      <c r="M41" s="2">
        <f t="shared" si="5"/>
        <v>1932.60454471433</v>
      </c>
      <c r="N41" s="1" t="s">
        <v>20</v>
      </c>
    </row>
    <row r="42" spans="1:14">
      <c r="A42" s="1">
        <v>4013</v>
      </c>
      <c r="B42" s="1" t="s">
        <v>22</v>
      </c>
      <c r="C42" s="1">
        <v>28.15</v>
      </c>
      <c r="D42" s="1">
        <v>4.5</v>
      </c>
      <c r="E42" s="1">
        <f>2240+5100</f>
        <v>7340</v>
      </c>
      <c r="F42" s="2">
        <f>1.59*2.24</f>
        <v>3.5616</v>
      </c>
      <c r="G42" s="2">
        <f>0.71*3600/1.225/16.54</f>
        <v>126.150581151445</v>
      </c>
      <c r="H42" s="2">
        <f t="shared" si="0"/>
        <v>1430.29884263258</v>
      </c>
      <c r="I42" s="3">
        <f t="shared" si="1"/>
        <v>0.0881987577639752</v>
      </c>
      <c r="J42" s="4">
        <f t="shared" si="2"/>
        <v>11.2910901332747</v>
      </c>
      <c r="K42" s="1">
        <f t="shared" si="3"/>
        <v>8050</v>
      </c>
      <c r="L42" s="4">
        <f t="shared" si="4"/>
        <v>0.70375</v>
      </c>
      <c r="M42" s="2">
        <f t="shared" si="5"/>
        <v>2032.39622398945</v>
      </c>
      <c r="N42" s="1" t="s">
        <v>20</v>
      </c>
    </row>
    <row r="43" spans="1:14">
      <c r="A43" s="1">
        <v>4014</v>
      </c>
      <c r="B43" s="1" t="s">
        <v>22</v>
      </c>
      <c r="C43" s="1">
        <v>26.02</v>
      </c>
      <c r="D43" s="1">
        <v>4.5</v>
      </c>
      <c r="E43" s="1">
        <f>2050+4660</f>
        <v>6710</v>
      </c>
      <c r="F43" s="2">
        <f>2.05*1.59</f>
        <v>3.2595</v>
      </c>
      <c r="G43" s="2">
        <f>0.64*3600/1.225/16.54</f>
        <v>113.713199911162</v>
      </c>
      <c r="H43" s="2">
        <f t="shared" si="0"/>
        <v>1305.92503022975</v>
      </c>
      <c r="I43" s="3">
        <f t="shared" si="1"/>
        <v>0.0870748299319728</v>
      </c>
      <c r="J43" s="4">
        <f t="shared" si="2"/>
        <v>11.1531730312558</v>
      </c>
      <c r="K43" s="1">
        <f t="shared" si="3"/>
        <v>7350</v>
      </c>
      <c r="L43" s="4">
        <f t="shared" si="4"/>
        <v>0.6505</v>
      </c>
      <c r="M43" s="2">
        <f t="shared" si="5"/>
        <v>2007.57114562605</v>
      </c>
      <c r="N43" s="1" t="s">
        <v>20</v>
      </c>
    </row>
    <row r="44" spans="1:14">
      <c r="A44" s="1">
        <v>4015</v>
      </c>
      <c r="B44" s="1" t="s">
        <v>22</v>
      </c>
      <c r="C44" s="1">
        <v>22.56</v>
      </c>
      <c r="D44" s="1">
        <v>4.5</v>
      </c>
      <c r="E44" s="1">
        <f>1830+4500</f>
        <v>6330</v>
      </c>
      <c r="F44" s="2">
        <f>1.83*1.59</f>
        <v>2.9097</v>
      </c>
      <c r="G44" s="2">
        <f>0.58*3600/1.225/16.54</f>
        <v>103.05258741949</v>
      </c>
      <c r="H44" s="2">
        <f t="shared" si="0"/>
        <v>1227.74720529082</v>
      </c>
      <c r="I44" s="3">
        <f t="shared" si="1"/>
        <v>0.0839363241678727</v>
      </c>
      <c r="J44" s="4">
        <f t="shared" si="2"/>
        <v>12.0936485942752</v>
      </c>
      <c r="K44" s="1">
        <f t="shared" si="3"/>
        <v>6910</v>
      </c>
      <c r="L44" s="4">
        <f t="shared" si="4"/>
        <v>0.564</v>
      </c>
      <c r="M44" s="2">
        <f t="shared" si="5"/>
        <v>2176.85674696954</v>
      </c>
      <c r="N44" s="1" t="s">
        <v>24</v>
      </c>
    </row>
    <row r="45" spans="1:14">
      <c r="A45" s="1">
        <v>4004</v>
      </c>
      <c r="B45" s="1" t="s">
        <v>23</v>
      </c>
      <c r="C45" s="1">
        <v>68.91</v>
      </c>
      <c r="D45" s="1">
        <v>4.5</v>
      </c>
      <c r="E45" s="1">
        <f>11170+5020</f>
        <v>16190</v>
      </c>
      <c r="F45" s="2">
        <f>1.59*11.17</f>
        <v>17.7603</v>
      </c>
      <c r="G45" s="2">
        <f>2.55*3600/1.225/16.54</f>
        <v>453.076030896034</v>
      </c>
      <c r="H45" s="2">
        <f t="shared" si="0"/>
        <v>3329.6646348987</v>
      </c>
      <c r="I45" s="3">
        <f t="shared" si="1"/>
        <v>0.13607257203842</v>
      </c>
      <c r="J45" s="4">
        <f t="shared" si="2"/>
        <v>10.7375631174276</v>
      </c>
      <c r="K45" s="1">
        <f t="shared" si="3"/>
        <v>18740</v>
      </c>
      <c r="L45" s="4">
        <f t="shared" si="4"/>
        <v>1.72275</v>
      </c>
      <c r="M45" s="2">
        <f t="shared" si="5"/>
        <v>1932.76136113696</v>
      </c>
      <c r="N45" s="1" t="s">
        <v>20</v>
      </c>
    </row>
    <row r="46" spans="1:14">
      <c r="A46" s="1">
        <v>4005</v>
      </c>
      <c r="B46" s="1" t="s">
        <v>23</v>
      </c>
      <c r="C46" s="1">
        <v>57.14</v>
      </c>
      <c r="D46" s="1">
        <v>4.5</v>
      </c>
      <c r="E46" s="1">
        <f>9040+4570</f>
        <v>13610</v>
      </c>
      <c r="F46" s="2">
        <f>1.59*9.04</f>
        <v>14.3736</v>
      </c>
      <c r="G46" s="2">
        <f>0.95*3600/1.225/16.54</f>
        <v>168.79303111813</v>
      </c>
      <c r="H46" s="2">
        <f t="shared" si="0"/>
        <v>2586.97529797893</v>
      </c>
      <c r="I46" s="3">
        <f t="shared" si="1"/>
        <v>0.0652472527472528</v>
      </c>
      <c r="J46" s="4">
        <f t="shared" si="2"/>
        <v>10.0609625402673</v>
      </c>
      <c r="K46" s="1">
        <f t="shared" si="3"/>
        <v>14560</v>
      </c>
      <c r="L46" s="4">
        <f t="shared" si="4"/>
        <v>1.4285</v>
      </c>
      <c r="M46" s="2">
        <f t="shared" si="5"/>
        <v>1810.97325724811</v>
      </c>
      <c r="N46" s="1" t="s">
        <v>20</v>
      </c>
    </row>
    <row r="47" spans="1:14">
      <c r="A47" s="1">
        <v>4006</v>
      </c>
      <c r="B47" s="1" t="s">
        <v>23</v>
      </c>
      <c r="C47" s="1">
        <v>52.71</v>
      </c>
      <c r="D47" s="1">
        <v>4.5</v>
      </c>
      <c r="E47" s="1">
        <f>9040+4270</f>
        <v>13310</v>
      </c>
      <c r="F47" s="2">
        <f>1.59*9.04</f>
        <v>14.3736</v>
      </c>
      <c r="G47" s="2">
        <f>0.95*3600/1.225/16.54</f>
        <v>168.79303111813</v>
      </c>
      <c r="H47" s="2">
        <f t="shared" si="0"/>
        <v>2533.67223552057</v>
      </c>
      <c r="I47" s="3">
        <f t="shared" si="1"/>
        <v>0.0666199158485273</v>
      </c>
      <c r="J47" s="4">
        <f t="shared" si="2"/>
        <v>10.6818113177789</v>
      </c>
      <c r="K47" s="1">
        <f t="shared" si="3"/>
        <v>14260</v>
      </c>
      <c r="L47" s="4">
        <f t="shared" si="4"/>
        <v>1.31775</v>
      </c>
      <c r="M47" s="2">
        <f t="shared" si="5"/>
        <v>1922.7260372002</v>
      </c>
      <c r="N47" s="1" t="s">
        <v>20</v>
      </c>
    </row>
    <row r="48" spans="1:14">
      <c r="A48" s="1">
        <v>4008</v>
      </c>
      <c r="B48" s="1" t="s">
        <v>22</v>
      </c>
      <c r="C48" s="1">
        <v>33.28</v>
      </c>
      <c r="D48" s="1">
        <v>4.5</v>
      </c>
      <c r="E48" s="1">
        <f>2670+6210</f>
        <v>8880</v>
      </c>
      <c r="F48" s="2">
        <f>1.59*2.67</f>
        <v>4.2453</v>
      </c>
      <c r="G48" s="2">
        <f>0.84*3600/1.225/16.54</f>
        <v>149.2485748834</v>
      </c>
      <c r="H48" s="2">
        <f t="shared" si="0"/>
        <v>1727.01922365077</v>
      </c>
      <c r="I48" s="3">
        <f t="shared" si="1"/>
        <v>0.0864197530864197</v>
      </c>
      <c r="J48" s="4">
        <f t="shared" si="2"/>
        <v>11.5319125510868</v>
      </c>
      <c r="K48" s="1">
        <f t="shared" si="3"/>
        <v>9720</v>
      </c>
      <c r="L48" s="4">
        <f t="shared" si="4"/>
        <v>0.832</v>
      </c>
      <c r="M48" s="2">
        <f t="shared" si="5"/>
        <v>2075.74425919563</v>
      </c>
      <c r="N48" s="1" t="s">
        <v>24</v>
      </c>
    </row>
  </sheetData>
  <pageMargins left="0.7" right="0.7" top="0.75" bottom="0.75" header="0.3" footer="0.3"/>
  <pageSetup paperSize="9" orientation="portrait"/>
  <headerFooter/>
  <ignoredErrors>
    <ignoredError sqref="F32:G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PEGASUS</cp:lastModifiedBy>
  <dcterms:created xsi:type="dcterms:W3CDTF">2023-05-12T11:15:00Z</dcterms:created>
  <dcterms:modified xsi:type="dcterms:W3CDTF">2024-12-27T14:44:48Z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1BCD2AC3A11B4F8E9F929191AF6A605D_13</vt:lpwstr>
  </property>
</Properties>
</file>